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Community Development\New Structure\HOUSING PROGRAMS\First-Time_HB\Documents\"/>
    </mc:Choice>
  </mc:AlternateContent>
  <xr:revisionPtr revIDLastSave="0" documentId="13_ncr:1_{1F6083F2-251F-4896-8C4C-1125A5420FC5}" xr6:coauthVersionLast="47" xr6:coauthVersionMax="47" xr10:uidLastSave="{00000000-0000-0000-0000-000000000000}"/>
  <workbookProtection workbookAlgorithmName="SHA-512" workbookHashValue="2gCxUMZ3SusSbX+mGXjJNOKwC35hMO0AqkSprAxNLPckJ3PiV32mlWPSzZ3cbcEGzvJTW1NTfMTO+cM5HV7jNg==" workbookSaltValue="AFnmIq/VBN//KtK+I0WkEg==" workbookSpinCount="100000" lockStructure="1"/>
  <bookViews>
    <workbookView xWindow="-120" yWindow="-120" windowWidth="29040" windowHeight="17520" xr2:uid="{00000000-000D-0000-FFFF-FFFF00000000}"/>
  </bookViews>
  <sheets>
    <sheet name="Calculator" sheetId="1" r:id="rId1"/>
    <sheet name="Calculator (Draft)" sheetId="3" state="hidden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G32" i="3"/>
  <c r="F29" i="3"/>
  <c r="G28" i="3"/>
  <c r="F11" i="3"/>
  <c r="G14" i="3" s="1"/>
  <c r="G32" i="1"/>
  <c r="G28" i="1"/>
  <c r="F33" i="1"/>
  <c r="F29" i="1"/>
  <c r="G15" i="3" l="1"/>
  <c r="F42" i="3"/>
  <c r="F14" i="3"/>
  <c r="F15" i="3" s="1"/>
  <c r="F45" i="3"/>
  <c r="F11" i="1"/>
  <c r="E45" i="3" l="1"/>
  <c r="E42" i="3"/>
  <c r="F14" i="1"/>
  <c r="G45" i="1" s="1"/>
  <c r="G42" i="1" l="1"/>
  <c r="G44" i="1"/>
  <c r="B58" i="3"/>
  <c r="B51" i="3"/>
  <c r="B57" i="3"/>
  <c r="B52" i="3"/>
  <c r="G15" i="1"/>
  <c r="G14" i="1"/>
  <c r="F15" i="1"/>
  <c r="F42" i="1" s="1"/>
  <c r="H2" i="2" l="1"/>
  <c r="G48" i="1"/>
  <c r="F44" i="1"/>
  <c r="I2" i="2" l="1"/>
  <c r="F45" i="1"/>
  <c r="F48" i="1" s="1"/>
  <c r="H5" i="2" s="1"/>
  <c r="H3" i="2"/>
  <c r="A59" i="1" l="1"/>
  <c r="A53" i="1"/>
  <c r="I3" i="2"/>
  <c r="A54" i="1" l="1"/>
  <c r="B54" i="1" s="1"/>
  <c r="B53" i="1"/>
  <c r="A60" i="1"/>
  <c r="B60" i="1" s="1"/>
  <c r="B59" i="1"/>
  <c r="A57" i="3"/>
  <c r="A58" i="3" s="1"/>
  <c r="A51" i="3"/>
  <c r="A52" i="3" s="1"/>
</calcChain>
</file>

<file path=xl/sharedStrings.xml><?xml version="1.0" encoding="utf-8"?>
<sst xmlns="http://schemas.openxmlformats.org/spreadsheetml/2006/main" count="110" uniqueCount="61">
  <si>
    <t>Amherst First Time Homebuyer Program</t>
  </si>
  <si>
    <t>Please input your estimates yearly gross income:</t>
  </si>
  <si>
    <t>Your estimated monthly gross income is:</t>
  </si>
  <si>
    <t xml:space="preserve">Gross income is your income before taxes and other deductions. </t>
  </si>
  <si>
    <t xml:space="preserve">Please input your monthly debt obligations: </t>
  </si>
  <si>
    <t xml:space="preserve">Please input your estimated mortgage rate: </t>
  </si>
  <si>
    <t xml:space="preserve">Mortgages are generally 15 or 30 years in duration. </t>
  </si>
  <si>
    <t xml:space="preserve">Yearly insurance costs are estimated to be: </t>
  </si>
  <si>
    <t xml:space="preserve">Yearly property taxes are estimated to be: </t>
  </si>
  <si>
    <t xml:space="preserve">Please input the mortgage duration you will select: </t>
  </si>
  <si>
    <t xml:space="preserve">Monthly insurance costs are estimated to be: </t>
  </si>
  <si>
    <t xml:space="preserve">Monthly property taxes are estimated to be: </t>
  </si>
  <si>
    <t xml:space="preserve">35% of your monthly gross income is: </t>
  </si>
  <si>
    <t xml:space="preserve">45% of your monthly gross income is: </t>
  </si>
  <si>
    <t>How many people will live in the purchased home?</t>
  </si>
  <si>
    <t>Years</t>
  </si>
  <si>
    <t xml:space="preserve">The program income limit for your household is: </t>
  </si>
  <si>
    <t xml:space="preserve">This includes personal savings, gifts, other programs, etc. </t>
  </si>
  <si>
    <t>Income Limits</t>
  </si>
  <si>
    <t>Duration</t>
  </si>
  <si>
    <t>Estimated…</t>
  </si>
  <si>
    <t>Insurance</t>
  </si>
  <si>
    <t>Front-End</t>
  </si>
  <si>
    <t>Back-End</t>
  </si>
  <si>
    <t>No Assistance</t>
  </si>
  <si>
    <t>Maximum Assistance</t>
  </si>
  <si>
    <t>With additional contributions towards the down payment, you could afford…</t>
  </si>
  <si>
    <t xml:space="preserve">Monthly HOA fees (if any) are estimated to be: </t>
  </si>
  <si>
    <t>Estimated Program Affordability Calculator</t>
  </si>
  <si>
    <t xml:space="preserve">Costs may vary based on the provider and coverage. </t>
  </si>
  <si>
    <t xml:space="preserve">Taxes may vary based on house type and location. </t>
  </si>
  <si>
    <t>Your household size, for the program's income limit, is:</t>
  </si>
  <si>
    <t xml:space="preserve">This includes student loan, credit card debts, etc. </t>
  </si>
  <si>
    <t>Based on the information provided, you could afford…</t>
  </si>
  <si>
    <t>When searching, assume the purchase price will likely be about $30,000 over the listed price.</t>
  </si>
  <si>
    <t>was</t>
  </si>
  <si>
    <t xml:space="preserve">Please keep the following in mind… </t>
  </si>
  <si>
    <t>The median house sale price in summer of</t>
  </si>
  <si>
    <t>The lowest house sale price in summer of</t>
  </si>
  <si>
    <t xml:space="preserve">That said, there often are affordable listings, especially on the "off" season. </t>
  </si>
  <si>
    <t xml:space="preserve">DISCLAIMER: The following is merely a rough estimator. </t>
  </si>
  <si>
    <t xml:space="preserve">The Community Development Program makes no claims to its accuracy. </t>
  </si>
  <si>
    <t>The estimator's results may not be used in program participation.</t>
  </si>
  <si>
    <t>We encourage users to speak to industry experts (realtors, counsellors, etc.).</t>
  </si>
  <si>
    <t xml:space="preserve">Compare this to other online calculators to estimate affordability. </t>
  </si>
  <si>
    <t xml:space="preserve">Base your input on current market rates and your credit score. </t>
  </si>
  <si>
    <t>Income includes most money received (wages, SSA, IRA, etc.)</t>
  </si>
  <si>
    <t xml:space="preserve">Any additional contributions to a down payment: </t>
  </si>
  <si>
    <t xml:space="preserve">This is the maximum your monthly mortgage payment can be for a 35% front-end debt-to-income ratio. </t>
  </si>
  <si>
    <t xml:space="preserve">This is the maximum your monthly mortgage payment can be for a 45% back-end debt-to-income ratio. </t>
  </si>
  <si>
    <t xml:space="preserve">This Program will provide assistance to achieve 35% front-end and 45% back-end debt-to-income ratios. </t>
  </si>
  <si>
    <t xml:space="preserve">Input as needed. Generally $250 - $450 in Amherst. </t>
  </si>
  <si>
    <r>
      <t xml:space="preserve">The above amounts are the </t>
    </r>
    <r>
      <rPr>
        <b/>
        <i/>
        <u/>
        <sz val="10"/>
        <color theme="1"/>
        <rFont val="Calibri"/>
        <family val="2"/>
        <scheme val="minor"/>
      </rPr>
      <t>PURCHASE PRICE</t>
    </r>
    <r>
      <rPr>
        <i/>
        <sz val="10"/>
        <color theme="1"/>
        <rFont val="Calibri"/>
        <family val="2"/>
        <scheme val="minor"/>
      </rPr>
      <t xml:space="preserve"> for the home, NOT the listed price. </t>
    </r>
  </si>
  <si>
    <t xml:space="preserve">The maximum eligible monthly mortgage amount is: </t>
  </si>
  <si>
    <t>Corrected/Consolidated:</t>
  </si>
  <si>
    <r>
      <t xml:space="preserve">This is the maximum your monthly mortgage payment </t>
    </r>
    <r>
      <rPr>
        <i/>
        <u/>
        <sz val="10"/>
        <color theme="1"/>
        <rFont val="Calibri"/>
        <family val="2"/>
        <scheme val="minor"/>
      </rPr>
      <t>+ debts</t>
    </r>
    <r>
      <rPr>
        <i/>
        <sz val="10"/>
        <color theme="1"/>
        <rFont val="Calibri"/>
        <family val="2"/>
        <scheme val="minor"/>
      </rPr>
      <t xml:space="preserve"> can be for a 45% back-end debt-to-income ratio. </t>
    </r>
  </si>
  <si>
    <t xml:space="preserve">This Program will provide assistance to achieve 35% front-end and/or 45% back-end debt-to-income ratios. </t>
  </si>
  <si>
    <t xml:space="preserve">Assistance is provided based on the more restrictive debt-to-income ratio. </t>
  </si>
  <si>
    <t xml:space="preserve">45% of your monthly gross income sans monthly debt is: </t>
  </si>
  <si>
    <t>House Value Limit:</t>
  </si>
  <si>
    <t>UPDATED 11/24/2025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</si>
</sst>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trike/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44" fontId="2" fillId="2" borderId="0" xfId="1" applyFont="1" applyFill="1"/>
    <xf numFmtId="44" fontId="8" fillId="2" borderId="0" xfId="1" applyFon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2" fillId="3" borderId="0" xfId="0" applyFont="1" applyFill="1"/>
    <xf numFmtId="44" fontId="2" fillId="3" borderId="0" xfId="1" applyFont="1" applyFill="1"/>
    <xf numFmtId="0" fontId="9" fillId="3" borderId="0" xfId="0" applyFont="1" applyFill="1"/>
    <xf numFmtId="0" fontId="5" fillId="3" borderId="0" xfId="0" applyFont="1" applyFill="1"/>
    <xf numFmtId="0" fontId="0" fillId="3" borderId="0" xfId="0" applyFont="1" applyFill="1"/>
    <xf numFmtId="0" fontId="10" fillId="3" borderId="0" xfId="0" applyFont="1" applyFill="1"/>
    <xf numFmtId="0" fontId="6" fillId="3" borderId="0" xfId="0" applyFont="1" applyFill="1"/>
    <xf numFmtId="0" fontId="8" fillId="4" borderId="0" xfId="0" applyFont="1" applyFill="1" applyProtection="1">
      <protection locked="0"/>
    </xf>
    <xf numFmtId="10" fontId="8" fillId="4" borderId="0" xfId="2" applyNumberFormat="1" applyFont="1" applyFill="1" applyProtection="1">
      <protection locked="0"/>
    </xf>
    <xf numFmtId="44" fontId="8" fillId="4" borderId="0" xfId="1" applyFont="1" applyFill="1" applyProtection="1">
      <protection locked="0"/>
    </xf>
    <xf numFmtId="44" fontId="8" fillId="5" borderId="0" xfId="1" applyFont="1" applyFill="1"/>
    <xf numFmtId="0" fontId="2" fillId="3" borderId="0" xfId="0" applyFont="1" applyFill="1" applyAlignment="1">
      <alignment horizontal="center"/>
    </xf>
    <xf numFmtId="44" fontId="6" fillId="2" borderId="0" xfId="1" applyFont="1" applyFill="1"/>
    <xf numFmtId="0" fontId="13" fillId="0" borderId="0" xfId="0" applyFont="1"/>
    <xf numFmtId="44" fontId="13" fillId="0" borderId="0" xfId="1" applyFont="1"/>
    <xf numFmtId="0" fontId="8" fillId="6" borderId="0" xfId="0" applyFont="1" applyFill="1"/>
    <xf numFmtId="44" fontId="8" fillId="6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workbookViewId="0"/>
  </sheetViews>
  <sheetFormatPr defaultRowHeight="15" x14ac:dyDescent="0.25"/>
  <cols>
    <col min="1" max="1" width="14" style="5" customWidth="1"/>
    <col min="2" max="4" width="9.140625" style="5"/>
    <col min="5" max="5" width="11.5703125" style="5" bestFit="1" customWidth="1"/>
    <col min="6" max="6" width="14" style="5" customWidth="1"/>
    <col min="7" max="7" width="12.7109375" style="5" customWidth="1"/>
    <col min="8" max="8" width="12.5703125" style="5" bestFit="1" customWidth="1"/>
    <col min="9" max="11" width="9.140625" style="5"/>
    <col min="12" max="13" width="12.5703125" style="5" bestFit="1" customWidth="1"/>
    <col min="14" max="16384" width="9.140625" style="5"/>
  </cols>
  <sheetData>
    <row r="1" spans="1:7" ht="31.5" x14ac:dyDescent="0.5">
      <c r="A1" s="4" t="s">
        <v>0</v>
      </c>
    </row>
    <row r="2" spans="1:7" ht="23.25" x14ac:dyDescent="0.35">
      <c r="A2" s="6" t="s">
        <v>28</v>
      </c>
    </row>
    <row r="4" spans="1:7" x14ac:dyDescent="0.25">
      <c r="A4" s="7" t="s">
        <v>40</v>
      </c>
    </row>
    <row r="5" spans="1:7" x14ac:dyDescent="0.25">
      <c r="A5" s="7" t="s">
        <v>41</v>
      </c>
    </row>
    <row r="6" spans="1:7" x14ac:dyDescent="0.25">
      <c r="A6" s="7" t="s">
        <v>42</v>
      </c>
    </row>
    <row r="7" spans="1:7" x14ac:dyDescent="0.25">
      <c r="A7" s="7" t="s">
        <v>43</v>
      </c>
    </row>
    <row r="8" spans="1:7" x14ac:dyDescent="0.25">
      <c r="A8" s="7" t="s">
        <v>44</v>
      </c>
    </row>
    <row r="10" spans="1:7" ht="15.75" x14ac:dyDescent="0.25">
      <c r="A10" s="8" t="s">
        <v>14</v>
      </c>
      <c r="B10" s="8"/>
      <c r="C10" s="8"/>
      <c r="D10" s="8"/>
      <c r="E10" s="8"/>
      <c r="F10" s="16">
        <v>0</v>
      </c>
    </row>
    <row r="11" spans="1:7" x14ac:dyDescent="0.25">
      <c r="A11" s="9" t="s">
        <v>31</v>
      </c>
      <c r="B11" s="9"/>
      <c r="C11" s="9"/>
      <c r="D11" s="9"/>
      <c r="E11" s="9"/>
      <c r="F11" s="9" t="str">
        <f>IF(AND(F10&lt;9,F10&gt;0),F10, IF(F10&gt;8,8,IF(F10=0,"Please input value above.","Invalid input.")))</f>
        <v>Please input value above.</v>
      </c>
    </row>
    <row r="13" spans="1:7" ht="15.75" x14ac:dyDescent="0.25">
      <c r="A13" s="8" t="s">
        <v>1</v>
      </c>
      <c r="B13" s="8"/>
      <c r="C13" s="8"/>
      <c r="D13" s="8"/>
      <c r="E13" s="8"/>
      <c r="F13" s="18">
        <v>0</v>
      </c>
    </row>
    <row r="14" spans="1:7" x14ac:dyDescent="0.25">
      <c r="A14" s="9" t="s">
        <v>16</v>
      </c>
      <c r="B14" s="9"/>
      <c r="C14" s="9"/>
      <c r="D14" s="9"/>
      <c r="E14" s="9"/>
      <c r="F14" s="2">
        <f>IF(F11=1,Data!B2, IF(F11=2,Data!B3, IF(F11=3,Data!B4, IF(F11=4,Data!B5, IF(F11=5,Data!B6, IF(F11=6,Data!B7, IF(F11=7,Data!B8, IF(F11=8,Data!B9,0))))))))</f>
        <v>0</v>
      </c>
      <c r="G14" s="11" t="str">
        <f>IF(OR(F11="Please input value.",F11="Invalid input.",F13&lt;=0),"Please input household size and income.",IF(AND(0&lt;F13,F13&lt;F14),"Your income is below the limit. You may be eligible for the program.", "Your income is over the limit. You are ineligible for the program."))</f>
        <v>Please input household size and income.</v>
      </c>
    </row>
    <row r="15" spans="1:7" x14ac:dyDescent="0.25">
      <c r="A15" s="9" t="s">
        <v>2</v>
      </c>
      <c r="B15" s="9"/>
      <c r="C15" s="9"/>
      <c r="D15" s="9"/>
      <c r="E15" s="9"/>
      <c r="F15" s="2">
        <f>IF(AND(F13&lt;F14,F13&gt;0),ROUND(F13/12,2),0)</f>
        <v>0</v>
      </c>
      <c r="G15" s="9" t="str">
        <f>IF(OR(F11="Please input value.",F11="Invalid input.",F13&lt;=0),"Pending user input...",IF(AND(0&lt;F13,F13&lt;F14),"If incorrect, update your yearly income.", " "))</f>
        <v>Pending user input...</v>
      </c>
    </row>
    <row r="16" spans="1:7" x14ac:dyDescent="0.25">
      <c r="A16" s="7" t="s">
        <v>3</v>
      </c>
    </row>
    <row r="17" spans="1:7" x14ac:dyDescent="0.25">
      <c r="A17" s="7" t="s">
        <v>46</v>
      </c>
    </row>
    <row r="19" spans="1:7" ht="15.75" x14ac:dyDescent="0.25">
      <c r="A19" s="8" t="s">
        <v>4</v>
      </c>
      <c r="B19" s="8"/>
      <c r="C19" s="8"/>
      <c r="D19" s="8"/>
      <c r="E19" s="8"/>
      <c r="F19" s="18">
        <v>0</v>
      </c>
    </row>
    <row r="20" spans="1:7" x14ac:dyDescent="0.25">
      <c r="A20" s="9" t="s">
        <v>32</v>
      </c>
    </row>
    <row r="22" spans="1:7" ht="15.75" x14ac:dyDescent="0.25">
      <c r="A22" s="8" t="s">
        <v>5</v>
      </c>
      <c r="B22" s="8"/>
      <c r="C22" s="8"/>
      <c r="D22" s="8"/>
      <c r="E22" s="8"/>
      <c r="F22" s="17">
        <v>6.5000000000000002E-2</v>
      </c>
    </row>
    <row r="23" spans="1:7" x14ac:dyDescent="0.25">
      <c r="A23" s="7" t="s">
        <v>45</v>
      </c>
    </row>
    <row r="25" spans="1:7" ht="15.75" x14ac:dyDescent="0.25">
      <c r="A25" s="8" t="s">
        <v>9</v>
      </c>
      <c r="B25" s="8"/>
      <c r="C25" s="8"/>
      <c r="D25" s="8"/>
      <c r="E25" s="8"/>
      <c r="F25" s="16">
        <v>30</v>
      </c>
      <c r="G25" s="8" t="s">
        <v>15</v>
      </c>
    </row>
    <row r="26" spans="1:7" x14ac:dyDescent="0.25">
      <c r="A26" s="7" t="s">
        <v>6</v>
      </c>
    </row>
    <row r="28" spans="1:7" ht="15.75" x14ac:dyDescent="0.25">
      <c r="A28" s="8" t="s">
        <v>7</v>
      </c>
      <c r="B28" s="8"/>
      <c r="C28" s="8"/>
      <c r="D28" s="8"/>
      <c r="E28" s="8"/>
      <c r="F28" s="18">
        <v>800</v>
      </c>
      <c r="G28" s="9" t="str">
        <f>IF(F28=0,"Average cost is $754."," ")</f>
        <v xml:space="preserve"> </v>
      </c>
    </row>
    <row r="29" spans="1:7" x14ac:dyDescent="0.25">
      <c r="A29" s="9" t="s">
        <v>10</v>
      </c>
      <c r="B29" s="9"/>
      <c r="C29" s="9"/>
      <c r="D29" s="9"/>
      <c r="E29" s="9"/>
      <c r="F29" s="2">
        <f>IF(F28&gt;0,ROUND(F28/12,2),"Please input value. You must buy insurance.")</f>
        <v>66.67</v>
      </c>
    </row>
    <row r="30" spans="1:7" x14ac:dyDescent="0.25">
      <c r="A30" s="7" t="s">
        <v>29</v>
      </c>
    </row>
    <row r="32" spans="1:7" ht="15.75" x14ac:dyDescent="0.25">
      <c r="A32" s="8" t="s">
        <v>8</v>
      </c>
      <c r="B32" s="8"/>
      <c r="C32" s="8"/>
      <c r="D32" s="8"/>
      <c r="E32" s="8"/>
      <c r="F32" s="18">
        <v>6000</v>
      </c>
      <c r="G32" s="9" t="str">
        <f>IF(F32=0,"Average taxes are $6,000."," ")</f>
        <v xml:space="preserve"> </v>
      </c>
    </row>
    <row r="33" spans="1:7" x14ac:dyDescent="0.25">
      <c r="A33" s="9" t="s">
        <v>11</v>
      </c>
      <c r="B33" s="9"/>
      <c r="C33" s="9"/>
      <c r="D33" s="9"/>
      <c r="E33" s="9"/>
      <c r="F33" s="2">
        <f>IF(F32&gt;0,ROUND(F32/12,2),"Please input value. You must pay taxes.")</f>
        <v>500</v>
      </c>
    </row>
    <row r="34" spans="1:7" x14ac:dyDescent="0.25">
      <c r="A34" s="7" t="s">
        <v>30</v>
      </c>
    </row>
    <row r="36" spans="1:7" ht="15.75" x14ac:dyDescent="0.25">
      <c r="A36" s="8" t="s">
        <v>27</v>
      </c>
      <c r="B36" s="8"/>
      <c r="C36" s="8"/>
      <c r="D36" s="8"/>
      <c r="E36" s="8"/>
      <c r="F36" s="18">
        <v>0</v>
      </c>
    </row>
    <row r="37" spans="1:7" x14ac:dyDescent="0.25">
      <c r="A37" s="7" t="s">
        <v>51</v>
      </c>
    </row>
    <row r="39" spans="1:7" ht="15.75" x14ac:dyDescent="0.25">
      <c r="A39" s="8" t="s">
        <v>47</v>
      </c>
      <c r="B39" s="8"/>
      <c r="C39" s="8"/>
      <c r="D39" s="8"/>
      <c r="E39" s="8"/>
      <c r="F39" s="18">
        <v>0</v>
      </c>
    </row>
    <row r="40" spans="1:7" x14ac:dyDescent="0.25">
      <c r="A40" s="7" t="s">
        <v>17</v>
      </c>
    </row>
    <row r="42" spans="1:7" s="9" customFormat="1" ht="15.75" hidden="1" x14ac:dyDescent="0.25">
      <c r="A42" s="15" t="s">
        <v>12</v>
      </c>
      <c r="B42" s="15"/>
      <c r="C42" s="15"/>
      <c r="D42" s="15"/>
      <c r="F42" s="21">
        <f>ROUND(F15*0.35,2)</f>
        <v>0</v>
      </c>
      <c r="G42" s="9" t="str">
        <f>IF(OR(F11="Please input value.",F11="Invalid input.",F13&lt;=0),"Pending user input...",IF(AND(0&lt;F13,F13&lt;F14)," ", " "))</f>
        <v>Pending user input...</v>
      </c>
    </row>
    <row r="43" spans="1:7" s="9" customFormat="1" hidden="1" x14ac:dyDescent="0.25">
      <c r="A43" s="7" t="s">
        <v>48</v>
      </c>
    </row>
    <row r="44" spans="1:7" s="9" customFormat="1" ht="15.75" hidden="1" x14ac:dyDescent="0.25">
      <c r="A44" s="15" t="s">
        <v>13</v>
      </c>
      <c r="B44" s="15"/>
      <c r="C44" s="15"/>
      <c r="D44" s="15"/>
      <c r="F44" s="21">
        <f>ROUND(F15*0.45,2)</f>
        <v>0</v>
      </c>
      <c r="G44" s="9" t="str">
        <f>IF(OR(F11="Please input value.",F11="Invalid input.",F13&lt;=0),"Pending user input...",IF(AND(0&lt;F13,F13&lt;F14)," ", " "))</f>
        <v>Pending user input...</v>
      </c>
    </row>
    <row r="45" spans="1:7" s="9" customFormat="1" ht="15.75" hidden="1" x14ac:dyDescent="0.25">
      <c r="A45" s="15" t="s">
        <v>58</v>
      </c>
      <c r="B45" s="15"/>
      <c r="C45" s="15"/>
      <c r="D45" s="15"/>
      <c r="F45" s="21">
        <f>F44-F19</f>
        <v>0</v>
      </c>
      <c r="G45" s="9" t="str">
        <f>IF(OR(F11="Please input value.",F11="Invalid input.",F13&lt;=0),"Pending user input...",IF(AND(0&lt;F13,F13&lt;F14)," ", " "))</f>
        <v>Pending user input...</v>
      </c>
    </row>
    <row r="46" spans="1:7" s="9" customFormat="1" hidden="1" x14ac:dyDescent="0.25">
      <c r="A46" s="7" t="s">
        <v>55</v>
      </c>
    </row>
    <row r="47" spans="1:7" hidden="1" x14ac:dyDescent="0.25">
      <c r="A47" s="7"/>
    </row>
    <row r="48" spans="1:7" ht="15.75" x14ac:dyDescent="0.25">
      <c r="A48" s="24" t="s">
        <v>53</v>
      </c>
      <c r="B48" s="24"/>
      <c r="C48" s="24"/>
      <c r="D48" s="24"/>
      <c r="E48" s="24"/>
      <c r="F48" s="25">
        <f>IF(F42&lt;(F45),F42, IF((F45)&lt;F42,(F45),0))</f>
        <v>0</v>
      </c>
      <c r="G48" s="9" t="str">
        <f>IF(OR(F11="Please input value.",F11="Invalid input.",F14&lt;=0),"Pending user input...",IF(AND(0&lt;F14,F14&lt;F15)," ", " "))</f>
        <v>Pending user input...</v>
      </c>
    </row>
    <row r="49" spans="1:7" x14ac:dyDescent="0.25">
      <c r="A49" s="9" t="s">
        <v>56</v>
      </c>
    </row>
    <row r="50" spans="1:7" x14ac:dyDescent="0.25">
      <c r="A50" s="9" t="s">
        <v>57</v>
      </c>
    </row>
    <row r="52" spans="1:7" ht="15.75" x14ac:dyDescent="0.25">
      <c r="A52" s="14" t="s">
        <v>33</v>
      </c>
      <c r="B52" s="12"/>
    </row>
    <row r="53" spans="1:7" ht="15.75" x14ac:dyDescent="0.25">
      <c r="A53" s="19">
        <f>IF(Data!H5&lt;=0,0,IF(Data!H5&gt;=Data!H6,Data!H6,Data!H5))</f>
        <v>0</v>
      </c>
      <c r="B53" s="15" t="str">
        <f>IF(F42=0,"Pending user input...",IF(A53=0,". It is unlikely you can purchase a house in Amherst at this time.",IF(F42&lt;F45,"without the program's assistance based on your 35% front-end debt-to-income ratio.","without the program's assistance based on your 45% back-end debt-to-income ratio.")))</f>
        <v>Pending user input...</v>
      </c>
    </row>
    <row r="54" spans="1:7" ht="15.75" x14ac:dyDescent="0.25">
      <c r="A54" s="19">
        <f>IF(A53=0,0,IF(A53+50000&gt;Data!H6, Data!H6, A53+50000))</f>
        <v>0</v>
      </c>
      <c r="B54" s="15" t="str">
        <f>IF(F42=0,"Pending user input...",IF(A54=0,". It is unlikely you can purchase a house in Amherst at this time.",IF(F42&lt;F45,"with the full $50,000 down payment assistance based on your 35% front-end debt-to-income ratio.","with the full $50,000 down payment assistance based on your 45% back-end debt-to-income ratio.")))</f>
        <v>Pending user input...</v>
      </c>
    </row>
    <row r="55" spans="1:7" x14ac:dyDescent="0.25">
      <c r="A55" s="7" t="s">
        <v>52</v>
      </c>
    </row>
    <row r="56" spans="1:7" x14ac:dyDescent="0.25">
      <c r="A56" s="7" t="s">
        <v>34</v>
      </c>
    </row>
    <row r="58" spans="1:7" ht="15.75" x14ac:dyDescent="0.25">
      <c r="A58" s="14" t="s">
        <v>26</v>
      </c>
      <c r="B58" s="12"/>
    </row>
    <row r="59" spans="1:7" ht="15.75" x14ac:dyDescent="0.25">
      <c r="A59" s="19">
        <f>IF(Data!H5&lt;=0,0,IF(Data!H5+F39&gt;=Data!H6,Data!H6,Data!H5+F39))</f>
        <v>0</v>
      </c>
      <c r="B59" s="15" t="str">
        <f>IF(F42=0,"Pending user input...",IF(A59=0,". It is unlikely you can purchase a house in Amherst at this time.",IF(F42&lt;F45,"without the program's assistance based on your 35% front-end debt-to-income ratio.","without the program's assistance based on your 45% back-end debt-to-income ratio.")))</f>
        <v>Pending user input...</v>
      </c>
    </row>
    <row r="60" spans="1:7" ht="15.75" x14ac:dyDescent="0.25">
      <c r="A60" s="19">
        <f>IF(A59=0,0,IF(A59+50000+F39&gt;Data!H6, Data!H6, A59+50000+F39))</f>
        <v>0</v>
      </c>
      <c r="B60" s="15" t="str">
        <f>IF(F42=0,"Pending user input...",IF(A60=0,". It is unlikely you can purchase a house in Amherst at this time.",IF(F42&lt;F45,"with the full $50,000 down payment assistance based on your 35% front-end debt-to-income ratio.","with the full $50,000 down payment assistance based on your 45% back-end debt-to-income ratio.")))</f>
        <v>Pending user input...</v>
      </c>
    </row>
    <row r="61" spans="1:7" x14ac:dyDescent="0.25">
      <c r="A61" s="7" t="s">
        <v>52</v>
      </c>
    </row>
    <row r="62" spans="1:7" x14ac:dyDescent="0.25">
      <c r="A62" s="7" t="s">
        <v>34</v>
      </c>
    </row>
    <row r="63" spans="1:7" x14ac:dyDescent="0.25">
      <c r="A63" s="13"/>
    </row>
    <row r="64" spans="1:7" x14ac:dyDescent="0.25">
      <c r="A64" s="9" t="s">
        <v>36</v>
      </c>
      <c r="B64" s="9"/>
      <c r="C64" s="9"/>
      <c r="D64" s="9"/>
      <c r="E64" s="9"/>
      <c r="F64" s="9"/>
      <c r="G64" s="9"/>
    </row>
    <row r="65" spans="1:7" x14ac:dyDescent="0.25">
      <c r="A65" s="9" t="s">
        <v>37</v>
      </c>
      <c r="B65" s="9"/>
      <c r="C65" s="9"/>
      <c r="D65" s="9"/>
      <c r="E65" s="20">
        <v>2025</v>
      </c>
      <c r="F65" s="20" t="s">
        <v>35</v>
      </c>
      <c r="G65" s="10">
        <v>411000</v>
      </c>
    </row>
    <row r="66" spans="1:7" x14ac:dyDescent="0.25">
      <c r="A66" s="9" t="s">
        <v>38</v>
      </c>
      <c r="B66" s="9"/>
      <c r="C66" s="9"/>
      <c r="D66" s="9"/>
      <c r="E66" s="20">
        <v>2024</v>
      </c>
      <c r="F66" s="20" t="s">
        <v>35</v>
      </c>
      <c r="G66" s="10">
        <v>139600</v>
      </c>
    </row>
    <row r="67" spans="1:7" x14ac:dyDescent="0.25">
      <c r="A67" s="9" t="s">
        <v>39</v>
      </c>
      <c r="B67" s="9"/>
      <c r="C67" s="9"/>
      <c r="D67" s="9"/>
      <c r="E67" s="9"/>
      <c r="F67" s="9"/>
      <c r="G67" s="9"/>
    </row>
  </sheetData>
  <sheetProtection algorithmName="SHA-512" hashValue="OBENhvI6pDWYE5F1dDLmWfVKQjPtvcr7fQREdAn9dPQ8NSBy/Gx/uTAWnd7rWtQhiHF+t0ErMW3K5a6AoVEOmw==" saltValue="uwZcJIPjbbwCow01O3R2JQ==" spinCount="100000" sheet="1" objects="1" scenarios="1"/>
  <protectedRanges>
    <protectedRange sqref="F39" name="Additional_Contributions"/>
    <protectedRange sqref="F36" name="Monthly_HOA"/>
    <protectedRange sqref="F32" name="Yearly_Taxes"/>
    <protectedRange sqref="F28" name="Yearly_Insurance"/>
    <protectedRange sqref="F25" name="Loan_Duration"/>
    <protectedRange sqref="F22" name="Mortgage_Rate"/>
    <protectedRange sqref="F19" name="Monthly_Debt"/>
    <protectedRange sqref="F13" name="Yearly_Income"/>
    <protectedRange sqref="F10" name="Household_Size"/>
  </protectedRanges>
  <conditionalFormatting sqref="G14">
    <cfRule type="containsText" dxfId="3" priority="1" operator="containsText" text="Your income is below the limit. You may be eligible for the program.">
      <formula>NOT(ISERROR(SEARCH("Your income is below the limit. You may be eligible for the program.",G14)))</formula>
    </cfRule>
    <cfRule type="containsText" dxfId="2" priority="2" operator="containsText" text="Your income is over the limit. You are ineligible for the program.">
      <formula>NOT(ISERROR(SEARCH("Your income is over the limit. You are ineligible for the program.",G14)))</formula>
    </cfRule>
  </conditionalFormatting>
  <dataValidations count="2">
    <dataValidation type="whole" operator="greaterThanOrEqual" allowBlank="1" showInputMessage="1" showErrorMessage="1" sqref="F10" xr:uid="{00000000-0002-0000-0000-000000000000}">
      <formula1>0</formula1>
    </dataValidation>
    <dataValidation type="decimal" operator="greaterThanOrEqual" allowBlank="1" showInputMessage="1" showErrorMessage="1" sqref="F13 F19 F28 F32 F36:F37 F22 F39" xr:uid="{00000000-0002-0000-0000-000001000000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Data!$D$2:$D$3</xm:f>
          </x14:formula1>
          <xm:sqref>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A45E-1872-4D76-98D4-AE9751472CEF}">
  <dimension ref="A1:G65"/>
  <sheetViews>
    <sheetView topLeftCell="A20" zoomScaleNormal="100" workbookViewId="0">
      <selection activeCell="C50" sqref="C50"/>
    </sheetView>
  </sheetViews>
  <sheetFormatPr defaultRowHeight="15" x14ac:dyDescent="0.25"/>
  <cols>
    <col min="1" max="1" width="14" style="5" customWidth="1"/>
    <col min="2" max="4" width="9.140625" style="5"/>
    <col min="5" max="5" width="11.5703125" style="5" bestFit="1" customWidth="1"/>
    <col min="6" max="6" width="14" style="5" customWidth="1"/>
    <col min="7" max="7" width="12.7109375" style="5" customWidth="1"/>
    <col min="8" max="8" width="12.5703125" style="5" bestFit="1" customWidth="1"/>
    <col min="9" max="11" width="9.140625" style="5"/>
    <col min="12" max="13" width="12.5703125" style="5" bestFit="1" customWidth="1"/>
    <col min="14" max="16384" width="9.140625" style="5"/>
  </cols>
  <sheetData>
    <row r="1" spans="1:7" ht="31.5" x14ac:dyDescent="0.5">
      <c r="A1" s="4" t="s">
        <v>0</v>
      </c>
    </row>
    <row r="2" spans="1:7" ht="23.25" x14ac:dyDescent="0.35">
      <c r="A2" s="6" t="s">
        <v>28</v>
      </c>
    </row>
    <row r="4" spans="1:7" x14ac:dyDescent="0.25">
      <c r="A4" s="7" t="s">
        <v>40</v>
      </c>
    </row>
    <row r="5" spans="1:7" x14ac:dyDescent="0.25">
      <c r="A5" s="7" t="s">
        <v>41</v>
      </c>
    </row>
    <row r="6" spans="1:7" x14ac:dyDescent="0.25">
      <c r="A6" s="7" t="s">
        <v>42</v>
      </c>
    </row>
    <row r="7" spans="1:7" x14ac:dyDescent="0.25">
      <c r="A7" s="7" t="s">
        <v>43</v>
      </c>
    </row>
    <row r="8" spans="1:7" x14ac:dyDescent="0.25">
      <c r="A8" s="7" t="s">
        <v>44</v>
      </c>
    </row>
    <row r="10" spans="1:7" ht="15.75" x14ac:dyDescent="0.25">
      <c r="A10" s="8" t="s">
        <v>14</v>
      </c>
      <c r="B10" s="8"/>
      <c r="C10" s="8"/>
      <c r="D10" s="8"/>
      <c r="E10" s="8"/>
      <c r="F10" s="16">
        <v>0</v>
      </c>
    </row>
    <row r="11" spans="1:7" x14ac:dyDescent="0.25">
      <c r="A11" s="9" t="s">
        <v>31</v>
      </c>
      <c r="B11" s="9"/>
      <c r="C11" s="9"/>
      <c r="D11" s="9"/>
      <c r="E11" s="9"/>
      <c r="F11" s="9" t="str">
        <f>IF(AND(F10&lt;9,F10&gt;0),F10, IF(F10&gt;8,8,IF(F10=0,"Please input value above.","Invalid input.")))</f>
        <v>Please input value above.</v>
      </c>
    </row>
    <row r="13" spans="1:7" ht="15.75" x14ac:dyDescent="0.25">
      <c r="A13" s="8" t="s">
        <v>1</v>
      </c>
      <c r="B13" s="8"/>
      <c r="C13" s="8"/>
      <c r="D13" s="8"/>
      <c r="E13" s="8"/>
      <c r="F13" s="18">
        <v>0</v>
      </c>
    </row>
    <row r="14" spans="1:7" x14ac:dyDescent="0.25">
      <c r="A14" s="9" t="s">
        <v>16</v>
      </c>
      <c r="B14" s="9"/>
      <c r="C14" s="9"/>
      <c r="D14" s="9"/>
      <c r="E14" s="9"/>
      <c r="F14" s="2">
        <f>IF(F11=1,Data!B2, IF(F11=2,Data!B3, IF(F11=3,Data!B4, IF(F11=4,Data!B5, IF(F11=5,Data!B6, IF(F11=6,Data!B7, IF(F11=7,Data!B8, IF(F11=8,Data!B9,0))))))))</f>
        <v>0</v>
      </c>
      <c r="G14" s="11" t="str">
        <f>IF(OR(F11="Please input value.",F11="Invalid input.",F13&lt;=0),"Please input household size and income.",IF(AND(0&lt;F13,F13&lt;F14),"Your income is below the limit. You may be eligible for the program.", "Your income is over the limit. You are ineligible for the program."))</f>
        <v>Please input household size and income.</v>
      </c>
    </row>
    <row r="15" spans="1:7" x14ac:dyDescent="0.25">
      <c r="A15" s="9" t="s">
        <v>2</v>
      </c>
      <c r="B15" s="9"/>
      <c r="C15" s="9"/>
      <c r="D15" s="9"/>
      <c r="E15" s="9"/>
      <c r="F15" s="2">
        <f>IF(AND(F13&lt;F14,F13&gt;0),ROUND(F13/12,2),0)</f>
        <v>0</v>
      </c>
      <c r="G15" s="9" t="str">
        <f>IF(OR(F11="Please input value.",F11="Invalid input.",F13&lt;=0),"Pending user input...",IF(AND(0&lt;F13,F13&lt;F14),"If incorrect, update your yearly income.", " "))</f>
        <v>Pending user input...</v>
      </c>
    </row>
    <row r="16" spans="1:7" x14ac:dyDescent="0.25">
      <c r="A16" s="7" t="s">
        <v>3</v>
      </c>
    </row>
    <row r="17" spans="1:7" x14ac:dyDescent="0.25">
      <c r="A17" s="7" t="s">
        <v>46</v>
      </c>
    </row>
    <row r="19" spans="1:7" ht="15.75" x14ac:dyDescent="0.25">
      <c r="A19" s="8" t="s">
        <v>4</v>
      </c>
      <c r="B19" s="8"/>
      <c r="C19" s="8"/>
      <c r="D19" s="8"/>
      <c r="E19" s="8"/>
      <c r="F19" s="18">
        <v>0</v>
      </c>
    </row>
    <row r="20" spans="1:7" x14ac:dyDescent="0.25">
      <c r="A20" s="9" t="s">
        <v>32</v>
      </c>
    </row>
    <row r="22" spans="1:7" ht="15.75" x14ac:dyDescent="0.25">
      <c r="A22" s="8" t="s">
        <v>5</v>
      </c>
      <c r="B22" s="8"/>
      <c r="C22" s="8"/>
      <c r="D22" s="8"/>
      <c r="E22" s="8"/>
      <c r="F22" s="17">
        <v>7.4999999999999997E-2</v>
      </c>
    </row>
    <row r="23" spans="1:7" x14ac:dyDescent="0.25">
      <c r="A23" s="7" t="s">
        <v>45</v>
      </c>
    </row>
    <row r="25" spans="1:7" ht="15.75" x14ac:dyDescent="0.25">
      <c r="A25" s="8" t="s">
        <v>9</v>
      </c>
      <c r="B25" s="8"/>
      <c r="C25" s="8"/>
      <c r="D25" s="8"/>
      <c r="E25" s="8"/>
      <c r="F25" s="16">
        <v>30</v>
      </c>
      <c r="G25" s="8" t="s">
        <v>15</v>
      </c>
    </row>
    <row r="26" spans="1:7" x14ac:dyDescent="0.25">
      <c r="A26" s="7" t="s">
        <v>6</v>
      </c>
    </row>
    <row r="28" spans="1:7" ht="15.75" x14ac:dyDescent="0.25">
      <c r="A28" s="8" t="s">
        <v>7</v>
      </c>
      <c r="B28" s="8"/>
      <c r="C28" s="8"/>
      <c r="D28" s="8"/>
      <c r="E28" s="8"/>
      <c r="F28" s="18">
        <v>800</v>
      </c>
      <c r="G28" s="9" t="str">
        <f>IF(F28=0,"Average cost is $754."," ")</f>
        <v xml:space="preserve"> </v>
      </c>
    </row>
    <row r="29" spans="1:7" x14ac:dyDescent="0.25">
      <c r="A29" s="9" t="s">
        <v>10</v>
      </c>
      <c r="B29" s="9"/>
      <c r="C29" s="9"/>
      <c r="D29" s="9"/>
      <c r="E29" s="9"/>
      <c r="F29" s="2">
        <f>IF(F28&gt;0,ROUND(F28/12,2),"Please input value. You must buy insurance.")</f>
        <v>66.67</v>
      </c>
    </row>
    <row r="30" spans="1:7" x14ac:dyDescent="0.25">
      <c r="A30" s="7" t="s">
        <v>29</v>
      </c>
    </row>
    <row r="32" spans="1:7" ht="15.75" x14ac:dyDescent="0.25">
      <c r="A32" s="8" t="s">
        <v>8</v>
      </c>
      <c r="B32" s="8"/>
      <c r="C32" s="8"/>
      <c r="D32" s="8"/>
      <c r="E32" s="8"/>
      <c r="F32" s="18">
        <v>6000</v>
      </c>
      <c r="G32" s="9" t="str">
        <f>IF(F32=0,"Average taxes are $6,000."," ")</f>
        <v xml:space="preserve"> </v>
      </c>
    </row>
    <row r="33" spans="1:6" x14ac:dyDescent="0.25">
      <c r="A33" s="9" t="s">
        <v>11</v>
      </c>
      <c r="B33" s="9"/>
      <c r="C33" s="9"/>
      <c r="D33" s="9"/>
      <c r="E33" s="9"/>
      <c r="F33" s="2">
        <f>IF(F32&gt;0,ROUND(F32/12,2),"Please input value. You must pay taxes.")</f>
        <v>500</v>
      </c>
    </row>
    <row r="34" spans="1:6" x14ac:dyDescent="0.25">
      <c r="A34" s="7" t="s">
        <v>30</v>
      </c>
    </row>
    <row r="36" spans="1:6" ht="15.75" x14ac:dyDescent="0.25">
      <c r="A36" s="8" t="s">
        <v>27</v>
      </c>
      <c r="B36" s="8"/>
      <c r="C36" s="8"/>
      <c r="D36" s="8"/>
      <c r="E36" s="8"/>
      <c r="F36" s="18">
        <v>0</v>
      </c>
    </row>
    <row r="37" spans="1:6" x14ac:dyDescent="0.25">
      <c r="A37" s="7" t="s">
        <v>51</v>
      </c>
    </row>
    <row r="39" spans="1:6" ht="15.75" x14ac:dyDescent="0.25">
      <c r="A39" s="8" t="s">
        <v>47</v>
      </c>
      <c r="B39" s="8"/>
      <c r="C39" s="8"/>
      <c r="D39" s="8"/>
      <c r="E39" s="8"/>
      <c r="F39" s="18">
        <v>0</v>
      </c>
    </row>
    <row r="40" spans="1:6" x14ac:dyDescent="0.25">
      <c r="A40" s="7" t="s">
        <v>17</v>
      </c>
    </row>
    <row r="42" spans="1:6" ht="15.75" x14ac:dyDescent="0.25">
      <c r="A42" s="8" t="s">
        <v>12</v>
      </c>
      <c r="B42" s="12"/>
      <c r="C42" s="12"/>
      <c r="D42" s="12"/>
      <c r="E42" s="3">
        <f>ROUND(F15*0.35,2)</f>
        <v>0</v>
      </c>
      <c r="F42" s="9" t="str">
        <f>IF(OR(F11="Please input value.",F11="Invalid input.",F13&lt;=0),"Pending user input...",IF(AND(0&lt;F13,F13&lt;F14)," ", " "))</f>
        <v>Pending user input...</v>
      </c>
    </row>
    <row r="43" spans="1:6" x14ac:dyDescent="0.25">
      <c r="A43" s="7" t="s">
        <v>48</v>
      </c>
    </row>
    <row r="44" spans="1:6" x14ac:dyDescent="0.25">
      <c r="A44" s="9"/>
    </row>
    <row r="45" spans="1:6" ht="15.75" x14ac:dyDescent="0.25">
      <c r="A45" s="8" t="s">
        <v>13</v>
      </c>
      <c r="B45" s="12"/>
      <c r="C45" s="12"/>
      <c r="D45" s="12"/>
      <c r="E45" s="3">
        <f>ROUND(F15*0.45,2)</f>
        <v>0</v>
      </c>
      <c r="F45" s="9" t="str">
        <f>IF(OR(F11="Please input value.",F11="Invalid input.",F13&lt;=0),"Pending user input...",IF(AND(0&lt;F13,F13&lt;F14)," ", " "))</f>
        <v>Pending user input...</v>
      </c>
    </row>
    <row r="46" spans="1:6" x14ac:dyDescent="0.25">
      <c r="A46" s="7" t="s">
        <v>49</v>
      </c>
    </row>
    <row r="47" spans="1:6" x14ac:dyDescent="0.25">
      <c r="A47" s="13"/>
    </row>
    <row r="48" spans="1:6" x14ac:dyDescent="0.25">
      <c r="A48" s="9" t="s">
        <v>50</v>
      </c>
    </row>
    <row r="50" spans="1:7" ht="15.75" x14ac:dyDescent="0.25">
      <c r="A50" s="14" t="s">
        <v>33</v>
      </c>
      <c r="B50" s="12"/>
    </row>
    <row r="51" spans="1:7" ht="15.75" x14ac:dyDescent="0.25">
      <c r="A51" s="19">
        <f>IF(OR(Data!H2&lt;=0,Data!I2&lt;=0),0,IF(Data!H2&lt;Data!I2,IF(Data!H2&gt;250000,250000,Data!H2),IF(Data!I3&gt;250000,250000,Data!I3)))</f>
        <v>0</v>
      </c>
      <c r="B51" s="15" t="str">
        <f>IF(E42=0,"Pending user input...",IF(A51=0,". It is unlikely you can purchase a house in Amherst at this time.",IF(Data!H2&lt;Data!I2,"without the program's assistance based on your 35% front-end debt-to-income ratio.","without the program's assistance based on your 45% back-end debt-to-income ratio.")))</f>
        <v>Pending user input...</v>
      </c>
    </row>
    <row r="52" spans="1:7" ht="15.75" x14ac:dyDescent="0.25">
      <c r="A52" s="19">
        <f>IF(A51=0,0,IF(A51+50000&gt;250000, 250000, A51+50000))</f>
        <v>0</v>
      </c>
      <c r="B52" s="15" t="str">
        <f>IF(E42=0,"Pending user input...",IF(A52=0,". It is unlikely you can purchase a house in Amherst at this time.",IF(Data!H2&lt;Data!I2,"with the full $50,000 down payment assistance based on your 35% front-end debt-to-income ratio.","with the full $50,000 down payment assistance based on your 45% back-end debt-to-income ratio.")))</f>
        <v>Pending user input...</v>
      </c>
    </row>
    <row r="53" spans="1:7" x14ac:dyDescent="0.25">
      <c r="A53" s="7" t="s">
        <v>52</v>
      </c>
    </row>
    <row r="54" spans="1:7" x14ac:dyDescent="0.25">
      <c r="A54" s="7" t="s">
        <v>34</v>
      </c>
    </row>
    <row r="56" spans="1:7" ht="15.75" x14ac:dyDescent="0.25">
      <c r="A56" s="14" t="s">
        <v>26</v>
      </c>
      <c r="B56" s="12"/>
    </row>
    <row r="57" spans="1:7" ht="15.75" x14ac:dyDescent="0.25">
      <c r="A57" s="19">
        <f>IF(OR(Data!H2&lt;=0,Data!I2&lt;=0),0,IF(Data!H2&lt;Data!I2,IF(Data!H2+F39&gt;250000,250000,Data!H2+F39),IF(Data!I3+F39&gt;250000,250000,Data!I3+F39)))</f>
        <v>0</v>
      </c>
      <c r="B57" s="15" t="str">
        <f>IF(E42=0,"Pending user input...",IF(A57=0,". It is unlikely you can purchase a house in Amherst at this time.",IF(Data!H2&lt;Data!I2,"without the program's assistance based on your 35% front-end debt-to-income ratio.","without the program's assistance based on your 45% back-end debt-to-income ratio.")))</f>
        <v>Pending user input...</v>
      </c>
    </row>
    <row r="58" spans="1:7" ht="15.75" x14ac:dyDescent="0.25">
      <c r="A58" s="19">
        <f>IF(A57=0,0,IF(A57+50000&gt;250000, 250000, A57+50000))</f>
        <v>0</v>
      </c>
      <c r="B58" s="15" t="str">
        <f>IF(E42=0,"Pending user input...",IF(A58=0,". It is unlikely you can purchase a house in Amherst at this time.",IF(Data!H2&lt;Data!I2,"with the full $50,000 down payment assistance based on your 35% front-end debt-to-income ratio.","with the full $50,000 down payment assistance based on your 45% back-end debt-to-income ratio.")))</f>
        <v>Pending user input...</v>
      </c>
    </row>
    <row r="59" spans="1:7" x14ac:dyDescent="0.25">
      <c r="A59" s="7" t="s">
        <v>52</v>
      </c>
    </row>
    <row r="60" spans="1:7" x14ac:dyDescent="0.25">
      <c r="A60" s="7" t="s">
        <v>34</v>
      </c>
    </row>
    <row r="61" spans="1:7" x14ac:dyDescent="0.25">
      <c r="A61" s="13"/>
    </row>
    <row r="62" spans="1:7" x14ac:dyDescent="0.25">
      <c r="A62" s="9" t="s">
        <v>36</v>
      </c>
      <c r="B62" s="9"/>
      <c r="C62" s="9"/>
      <c r="D62" s="9"/>
      <c r="E62" s="9"/>
      <c r="F62" s="9"/>
      <c r="G62" s="9"/>
    </row>
    <row r="63" spans="1:7" x14ac:dyDescent="0.25">
      <c r="A63" s="9" t="s">
        <v>37</v>
      </c>
      <c r="B63" s="9"/>
      <c r="C63" s="9"/>
      <c r="D63" s="9"/>
      <c r="E63" s="20">
        <v>2023</v>
      </c>
      <c r="F63" s="20" t="s">
        <v>35</v>
      </c>
      <c r="G63" s="10">
        <v>381000</v>
      </c>
    </row>
    <row r="64" spans="1:7" x14ac:dyDescent="0.25">
      <c r="A64" s="9" t="s">
        <v>38</v>
      </c>
      <c r="B64" s="9"/>
      <c r="C64" s="9"/>
      <c r="D64" s="9"/>
      <c r="E64" s="20">
        <v>2023</v>
      </c>
      <c r="F64" s="20" t="s">
        <v>35</v>
      </c>
      <c r="G64" s="10">
        <v>134000</v>
      </c>
    </row>
    <row r="65" spans="1:7" x14ac:dyDescent="0.25">
      <c r="A65" s="9" t="s">
        <v>39</v>
      </c>
      <c r="B65" s="9"/>
      <c r="C65" s="9"/>
      <c r="D65" s="9"/>
      <c r="E65" s="9"/>
      <c r="F65" s="9"/>
      <c r="G65" s="9"/>
    </row>
  </sheetData>
  <protectedRanges>
    <protectedRange sqref="F39" name="Additional_Contributions"/>
    <protectedRange sqref="F36" name="Monthly_HOA"/>
    <protectedRange sqref="F32" name="Yearly_Taxes"/>
    <protectedRange sqref="F28" name="Yearly_Insurance"/>
    <protectedRange sqref="F25" name="Loan_Duration"/>
    <protectedRange sqref="F22" name="Mortgage_Rate"/>
    <protectedRange sqref="F19" name="Monthly_Debt"/>
    <protectedRange sqref="F13" name="Yearly_Income"/>
    <protectedRange sqref="F10" name="Household_Size"/>
  </protectedRanges>
  <conditionalFormatting sqref="G14">
    <cfRule type="containsText" dxfId="1" priority="1" operator="containsText" text="Your income is below the limit. You may be eligible for the program.">
      <formula>NOT(ISERROR(SEARCH("Your income is below the limit. You may be eligible for the program.",G14)))</formula>
    </cfRule>
    <cfRule type="containsText" dxfId="0" priority="2" operator="containsText" text="Your income is over the limit. You are ineligible for the program.">
      <formula>NOT(ISERROR(SEARCH("Your income is over the limit. You are ineligible for the program.",G14)))</formula>
    </cfRule>
  </conditionalFormatting>
  <dataValidations count="2">
    <dataValidation type="decimal" operator="greaterThanOrEqual" allowBlank="1" showInputMessage="1" showErrorMessage="1" sqref="F13 F19 F28 F32 F36:F37 F22 F39" xr:uid="{6C0997B4-5A8E-44D7-8B32-CEA944DA8FAC}">
      <formula1>0</formula1>
    </dataValidation>
    <dataValidation type="whole" operator="greaterThanOrEqual" allowBlank="1" showInputMessage="1" showErrorMessage="1" sqref="F10" xr:uid="{F5152EE9-B94D-40CF-B65E-182564BA7285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16EF4F-F504-4A1A-9334-BB0C570A1AD7}">
          <x14:formula1>
            <xm:f>Data!$D$2:$D$3</xm:f>
          </x14:formula1>
          <xm:sqref>F25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"/>
  <sheetViews>
    <sheetView workbookViewId="0">
      <selection activeCell="M1" sqref="M1"/>
    </sheetView>
  </sheetViews>
  <sheetFormatPr defaultRowHeight="15" x14ac:dyDescent="0.25"/>
  <cols>
    <col min="2" max="2" width="12.5703125" bestFit="1" customWidth="1"/>
    <col min="8" max="8" width="13.42578125" bestFit="1" customWidth="1"/>
    <col min="9" max="9" width="14.140625" customWidth="1"/>
  </cols>
  <sheetData>
    <row r="1" spans="1:13" x14ac:dyDescent="0.25">
      <c r="A1" t="s">
        <v>18</v>
      </c>
      <c r="D1" t="s">
        <v>19</v>
      </c>
      <c r="F1" s="22" t="s">
        <v>20</v>
      </c>
      <c r="G1" s="22"/>
      <c r="H1" s="22" t="s">
        <v>22</v>
      </c>
      <c r="I1" s="22" t="s">
        <v>23</v>
      </c>
      <c r="J1" s="22"/>
      <c r="K1" s="22"/>
      <c r="M1" t="s">
        <v>60</v>
      </c>
    </row>
    <row r="2" spans="1:13" x14ac:dyDescent="0.25">
      <c r="A2">
        <v>1</v>
      </c>
      <c r="B2" s="1">
        <v>56600</v>
      </c>
      <c r="D2">
        <v>15</v>
      </c>
      <c r="F2" s="22" t="s">
        <v>21</v>
      </c>
      <c r="G2" s="22"/>
      <c r="H2" s="23">
        <f>((Calculator!F42-(Calculator!F29+Calculator!F33+Calculator!F36))*(1-(1+(Calculator!F22/12))^(-(Calculator!F25*12))))/(Calculator!F22/12)</f>
        <v>-89653.325107073091</v>
      </c>
      <c r="I2" s="23">
        <f>(((Calculator!F44-(Calculator!F29+Calculator!F33+Calculator!F36+Calculator!F19))*(1-(1+(Calculator!F22/12))^(-(Calculator!F25*12))))/(Calculator!F22/12))</f>
        <v>-89653.325107073091</v>
      </c>
      <c r="J2" s="22" t="s">
        <v>24</v>
      </c>
      <c r="K2" s="22"/>
    </row>
    <row r="3" spans="1:13" x14ac:dyDescent="0.25">
      <c r="A3">
        <v>2</v>
      </c>
      <c r="B3" s="1">
        <v>64650</v>
      </c>
      <c r="D3">
        <v>30</v>
      </c>
      <c r="F3" s="22"/>
      <c r="G3" s="22"/>
      <c r="H3" s="23">
        <f>H2+50000</f>
        <v>-39653.325107073091</v>
      </c>
      <c r="I3" s="23">
        <f>I2+50000</f>
        <v>-39653.325107073091</v>
      </c>
      <c r="J3" s="22" t="s">
        <v>25</v>
      </c>
      <c r="K3" s="22"/>
    </row>
    <row r="4" spans="1:13" x14ac:dyDescent="0.25">
      <c r="A4">
        <v>3</v>
      </c>
      <c r="B4" s="1">
        <v>72750</v>
      </c>
    </row>
    <row r="5" spans="1:13" x14ac:dyDescent="0.25">
      <c r="A5">
        <v>4</v>
      </c>
      <c r="B5" s="1">
        <v>80800</v>
      </c>
      <c r="E5" t="s">
        <v>54</v>
      </c>
      <c r="H5" s="1">
        <f>((Calculator!F48-(Calculator!F29+Calculator!F33+Calculator!F36))*(1-(1+(Calculator!F22/12))^(-(Calculator!F25*12))))/(Calculator!F22/12)</f>
        <v>-89653.325107073091</v>
      </c>
    </row>
    <row r="6" spans="1:13" x14ac:dyDescent="0.25">
      <c r="A6">
        <v>5</v>
      </c>
      <c r="B6" s="1">
        <v>87300</v>
      </c>
      <c r="E6" t="s">
        <v>59</v>
      </c>
      <c r="H6" s="1">
        <v>265000</v>
      </c>
    </row>
    <row r="7" spans="1:13" x14ac:dyDescent="0.25">
      <c r="A7">
        <v>6</v>
      </c>
      <c r="B7" s="1">
        <v>93750</v>
      </c>
    </row>
    <row r="8" spans="1:13" x14ac:dyDescent="0.25">
      <c r="A8">
        <v>7</v>
      </c>
      <c r="B8" s="1">
        <v>100200</v>
      </c>
    </row>
    <row r="9" spans="1:13" x14ac:dyDescent="0.25">
      <c r="A9">
        <v>8</v>
      </c>
      <c r="B9" s="1">
        <v>106700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Calculator (Draft)</vt:lpstr>
      <vt:lpstr>Data</vt:lpstr>
    </vt:vector>
  </TitlesOfParts>
  <Company>Town of Amherst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Boerschig, Rachel</dc:creator>
  <cp:lastModifiedBy>Boerschig, Rachel</cp:lastModifiedBy>
  <dcterms:created xsi:type="dcterms:W3CDTF">2024-06-12T18:22:10Z</dcterms:created>
  <dcterms:modified xsi:type="dcterms:W3CDTF">2025-11-25T16:07:16Z</dcterms:modified>
</cp:coreProperties>
</file>